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95" windowWidth="15300" windowHeight="8670" tabRatio="688"/>
  </bookViews>
  <sheets>
    <sheet name="Ammonia Comparison" sheetId="13" r:id="rId1"/>
  </sheets>
  <definedNames>
    <definedName name="_xlnm.Print_Area" localSheetId="0">'Ammonia Comparison'!$A$1:$N$39</definedName>
  </definedNames>
  <calcPr calcId="145621"/>
</workbook>
</file>

<file path=xl/calcChain.xml><?xml version="1.0" encoding="utf-8"?>
<calcChain xmlns="http://schemas.openxmlformats.org/spreadsheetml/2006/main">
  <c r="J22" i="13" l="1"/>
  <c r="J23" i="13"/>
  <c r="J21" i="13"/>
  <c r="K22" i="13"/>
  <c r="K23" i="13"/>
  <c r="K21" i="13"/>
  <c r="L22" i="13"/>
  <c r="L23" i="13"/>
  <c r="L21" i="13"/>
  <c r="N22" i="13"/>
  <c r="N23" i="13"/>
  <c r="N21" i="13"/>
  <c r="M22" i="13"/>
  <c r="M23" i="13"/>
  <c r="M21" i="13"/>
  <c r="C22" i="13"/>
  <c r="C23" i="13"/>
  <c r="C21" i="13"/>
  <c r="I22" i="13"/>
  <c r="I23" i="13"/>
  <c r="I21" i="13"/>
  <c r="H22" i="13"/>
  <c r="H23" i="13"/>
  <c r="H21" i="13"/>
  <c r="G22" i="13"/>
  <c r="G23" i="13"/>
  <c r="G21" i="13"/>
  <c r="F22" i="13"/>
  <c r="F23" i="13"/>
  <c r="F21" i="13"/>
  <c r="E23" i="13"/>
  <c r="E22" i="13"/>
  <c r="E21" i="13"/>
  <c r="D22" i="13"/>
  <c r="D23" i="13"/>
  <c r="D21" i="13"/>
  <c r="E20" i="13" l="1"/>
  <c r="D20" i="13"/>
  <c r="E19" i="13"/>
  <c r="D19" i="13"/>
  <c r="E18" i="13"/>
  <c r="D18" i="13"/>
  <c r="E17" i="13"/>
  <c r="D17" i="13"/>
  <c r="E16" i="13"/>
  <c r="D16" i="13"/>
  <c r="E15" i="13"/>
  <c r="D15" i="13"/>
  <c r="E14" i="13"/>
  <c r="D14" i="13"/>
  <c r="E13" i="13"/>
  <c r="D13" i="13"/>
  <c r="E12" i="13"/>
  <c r="D12" i="13"/>
  <c r="E11" i="13"/>
  <c r="D11" i="13"/>
  <c r="E10" i="13"/>
  <c r="D10" i="13"/>
  <c r="C20" i="13" l="1"/>
  <c r="C19" i="13"/>
  <c r="C18" i="13"/>
  <c r="C17" i="13"/>
  <c r="C16" i="13"/>
  <c r="C15" i="13"/>
  <c r="C14" i="13"/>
  <c r="C13" i="13"/>
  <c r="C12" i="13"/>
  <c r="C11" i="13"/>
  <c r="C10" i="13"/>
  <c r="E9" i="13"/>
  <c r="D9" i="13"/>
  <c r="C9" i="13"/>
  <c r="I11" i="13" l="1"/>
  <c r="L11" i="13"/>
  <c r="G11" i="13"/>
  <c r="N11" i="13"/>
  <c r="K11" i="13"/>
  <c r="H11" i="13"/>
  <c r="F11" i="13"/>
  <c r="M11" i="13"/>
  <c r="J11" i="13"/>
  <c r="L15" i="13"/>
  <c r="I15" i="13"/>
  <c r="G15" i="13"/>
  <c r="N15" i="13"/>
  <c r="K15" i="13"/>
  <c r="H15" i="13"/>
  <c r="F15" i="13"/>
  <c r="M15" i="13"/>
  <c r="J15" i="13"/>
  <c r="I17" i="13"/>
  <c r="L17" i="13"/>
  <c r="G17" i="13"/>
  <c r="N17" i="13"/>
  <c r="K17" i="13"/>
  <c r="H17" i="13"/>
  <c r="F17" i="13"/>
  <c r="M17" i="13"/>
  <c r="J17" i="13"/>
  <c r="I19" i="13"/>
  <c r="L19" i="13"/>
  <c r="G19" i="13"/>
  <c r="N19" i="13"/>
  <c r="K19" i="13"/>
  <c r="H19" i="13"/>
  <c r="F19" i="13"/>
  <c r="M19" i="13"/>
  <c r="J19" i="13"/>
  <c r="L10" i="13"/>
  <c r="I10" i="13"/>
  <c r="G10" i="13"/>
  <c r="M10" i="13"/>
  <c r="F10" i="13"/>
  <c r="N10" i="13"/>
  <c r="K10" i="13"/>
  <c r="H10" i="13"/>
  <c r="J10" i="13"/>
  <c r="I12" i="13"/>
  <c r="L12" i="13"/>
  <c r="G12" i="13"/>
  <c r="M12" i="13"/>
  <c r="J12" i="13"/>
  <c r="F12" i="13"/>
  <c r="N12" i="13"/>
  <c r="K12" i="13"/>
  <c r="H12" i="13"/>
  <c r="L14" i="13"/>
  <c r="I14" i="13"/>
  <c r="G14" i="13"/>
  <c r="M14" i="13"/>
  <c r="J14" i="13"/>
  <c r="F14" i="13"/>
  <c r="N14" i="13"/>
  <c r="K14" i="13"/>
  <c r="H14" i="13"/>
  <c r="L16" i="13"/>
  <c r="I16" i="13"/>
  <c r="G16" i="13"/>
  <c r="M16" i="13"/>
  <c r="J16" i="13"/>
  <c r="F16" i="13"/>
  <c r="N16" i="13"/>
  <c r="K16" i="13"/>
  <c r="H16" i="13"/>
  <c r="L18" i="13"/>
  <c r="I18" i="13"/>
  <c r="G18" i="13"/>
  <c r="M18" i="13"/>
  <c r="J18" i="13"/>
  <c r="F18" i="13"/>
  <c r="N18" i="13"/>
  <c r="K18" i="13"/>
  <c r="H18" i="13"/>
  <c r="L20" i="13"/>
  <c r="I20" i="13"/>
  <c r="G20" i="13"/>
  <c r="M20" i="13"/>
  <c r="J20" i="13"/>
  <c r="F20" i="13"/>
  <c r="N20" i="13"/>
  <c r="K20" i="13"/>
  <c r="H20" i="13"/>
  <c r="N9" i="13"/>
  <c r="I9" i="13"/>
  <c r="L9" i="13"/>
  <c r="G9" i="13"/>
  <c r="I13" i="13"/>
  <c r="L13" i="13"/>
  <c r="G13" i="13"/>
  <c r="N13" i="13"/>
  <c r="K13" i="13"/>
  <c r="H13" i="13"/>
  <c r="F13" i="13"/>
  <c r="M13" i="13"/>
  <c r="J13" i="13"/>
  <c r="J9" i="13"/>
  <c r="H9" i="13"/>
  <c r="F9" i="13"/>
  <c r="M9" i="13"/>
  <c r="K9" i="13"/>
</calcChain>
</file>

<file path=xl/sharedStrings.xml><?xml version="1.0" encoding="utf-8"?>
<sst xmlns="http://schemas.openxmlformats.org/spreadsheetml/2006/main" count="58" uniqueCount="42">
  <si>
    <t>Ammonia Receiving Water Objectives</t>
  </si>
  <si>
    <t>pH</t>
  </si>
  <si>
    <t>Temp (F)</t>
  </si>
  <si>
    <t>Temp (C)</t>
  </si>
  <si>
    <t>CURRENT 1999 WQC</t>
  </si>
  <si>
    <t>Acute</t>
  </si>
  <si>
    <t>Chronic</t>
  </si>
  <si>
    <t>CMC</t>
  </si>
  <si>
    <t>CCC</t>
  </si>
  <si>
    <t>ELS Absent</t>
  </si>
  <si>
    <t>ELS Present</t>
  </si>
  <si>
    <t>Salmonids Absent</t>
  </si>
  <si>
    <t>Salmonids Present</t>
  </si>
  <si>
    <t>MONTHLY CHRONIC</t>
  </si>
  <si>
    <t>*</t>
  </si>
  <si>
    <t>Mussels Present</t>
  </si>
  <si>
    <t>2013 WQC</t>
  </si>
  <si>
    <t>Mussels Absent</t>
  </si>
  <si>
    <t>Rainbow Trout Absent</t>
  </si>
  <si>
    <t>Rainbow Trout Present</t>
  </si>
  <si>
    <t>ELS Present or Absent</t>
  </si>
  <si>
    <t>For temperature, entering degree F in column B will automatically generate degree C in column C. If the available data are already in degree C, you may enter it directly in column C and overwrite the conversion formula.</t>
  </si>
  <si>
    <t>1999 Acute Salmonids present and absent = any species of trout or salmon.</t>
  </si>
  <si>
    <t>1999 and 2013 Chronic ELS present and absent = Early life stages, typically fish spawning and are often seasonally implemented (i.e. spring and summer months).</t>
  </si>
  <si>
    <t>2013 Mussels present and absent = unionid mussel species present.</t>
  </si>
  <si>
    <t>DISCLAIMER:   The formulas contained in the spreadsheet were taken directly from the 1999 and 2013 EPA criteria documents and were crossed checked with the tables included in the documents. However, even though it has been cross checked, it is recommended that these calculations be used for informational purposes until they have been verified by your own staff.</t>
  </si>
  <si>
    <r>
      <t xml:space="preserve">2013 Acute Rainbow Trout present and absent = any salmonid of the genus </t>
    </r>
    <r>
      <rPr>
        <i/>
        <sz val="12"/>
        <rFont val="Calibri"/>
        <family val="2"/>
        <scheme val="minor"/>
      </rPr>
      <t>Oncorhynchus</t>
    </r>
    <r>
      <rPr>
        <sz val="12"/>
        <rFont val="Calibri"/>
        <family val="2"/>
        <scheme val="minor"/>
      </rPr>
      <t>. These are rainbow, cutthroat and several other less common trout species, steelhead, and Pacific salmon originally native to western North America but now widespread due to stocking programs.</t>
    </r>
  </si>
  <si>
    <t xml:space="preserve">A </t>
  </si>
  <si>
    <t>B</t>
  </si>
  <si>
    <t>C</t>
  </si>
  <si>
    <t>D</t>
  </si>
  <si>
    <t>E</t>
  </si>
  <si>
    <t>F</t>
  </si>
  <si>
    <t>G</t>
  </si>
  <si>
    <t>H</t>
  </si>
  <si>
    <t>I</t>
  </si>
  <si>
    <t>J</t>
  </si>
  <si>
    <t>K</t>
  </si>
  <si>
    <t>L</t>
  </si>
  <si>
    <t>M</t>
  </si>
  <si>
    <t>N</t>
  </si>
  <si>
    <t>This Excel spreadsheet is provided so members can evaluate the potential impact the 2013 revised criteria may have on acute and chronic ammonia water quality objectives for any pH and temperature.  Entering pH (column A) and temperature (column B or C) will result in the calculation of the 1999 and 2013 acute and chronic water quality objectives.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</si>
</sst>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b/>
      <sz val="10"/>
      <name val="Arial"/>
      <family val="2"/>
    </font>
    <font>
      <b/>
      <sz val="8"/>
      <name val="Arial"/>
      <family val="2"/>
    </font>
    <font>
      <sz val="10"/>
      <name val="Arial"/>
      <family val="2"/>
    </font>
    <font>
      <sz val="12"/>
      <name val="Calibri"/>
      <family val="2"/>
    </font>
    <font>
      <sz val="12"/>
      <name val="Calibri"/>
      <family val="2"/>
      <scheme val="minor"/>
    </font>
    <font>
      <i/>
      <sz val="12"/>
      <name val="Calibri"/>
      <family val="2"/>
      <scheme val="minor"/>
    </font>
    <font>
      <sz val="10"/>
      <name val="Calibri"/>
      <family val="2"/>
      <scheme val="minor"/>
    </font>
  </fonts>
  <fills count="9">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indexed="47"/>
        <bgColor indexed="64"/>
      </patternFill>
    </fill>
    <fill>
      <patternFill patternType="solid">
        <fgColor theme="4" tint="0.79998168889431442"/>
        <bgColor indexed="64"/>
      </patternFill>
    </fill>
  </fills>
  <borders count="1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1">
    <xf numFmtId="0" fontId="0" fillId="0" borderId="0"/>
  </cellStyleXfs>
  <cellXfs count="49">
    <xf numFmtId="0" fontId="0" fillId="0" borderId="0" xfId="0"/>
    <xf numFmtId="2" fontId="1" fillId="0" borderId="9" xfId="0" applyNumberFormat="1" applyFont="1" applyBorder="1" applyAlignment="1" applyProtection="1">
      <alignment horizontal="center" vertical="center"/>
      <protection locked="0"/>
    </xf>
    <xf numFmtId="164" fontId="1" fillId="0" borderId="9" xfId="0" applyNumberFormat="1" applyFont="1" applyBorder="1" applyAlignment="1" applyProtection="1">
      <alignment horizontal="center" vertical="center"/>
      <protection locked="0"/>
    </xf>
    <xf numFmtId="164" fontId="0" fillId="7" borderId="9" xfId="0" applyNumberFormat="1" applyFill="1" applyBorder="1" applyAlignment="1">
      <alignment horizontal="center" vertical="center"/>
    </xf>
    <xf numFmtId="2" fontId="0" fillId="6" borderId="9" xfId="0" applyNumberFormat="1" applyFill="1" applyBorder="1" applyAlignment="1">
      <alignment horizontal="center" vertical="center"/>
    </xf>
    <xf numFmtId="2" fontId="1" fillId="0" borderId="10" xfId="0" applyNumberFormat="1" applyFont="1" applyBorder="1" applyAlignment="1" applyProtection="1">
      <alignment horizontal="center" vertical="center"/>
      <protection locked="0"/>
    </xf>
    <xf numFmtId="164" fontId="1" fillId="0" borderId="10" xfId="0" applyNumberFormat="1" applyFont="1" applyBorder="1" applyAlignment="1" applyProtection="1">
      <alignment horizontal="center" vertical="center"/>
      <protection locked="0"/>
    </xf>
    <xf numFmtId="2" fontId="1" fillId="0" borderId="11" xfId="0" applyNumberFormat="1" applyFont="1" applyBorder="1" applyAlignment="1" applyProtection="1">
      <alignment horizontal="center" vertical="center"/>
      <protection locked="0"/>
    </xf>
    <xf numFmtId="164" fontId="1" fillId="0" borderId="11" xfId="0" applyNumberFormat="1" applyFont="1" applyBorder="1" applyAlignment="1" applyProtection="1">
      <alignment horizontal="center" vertical="center"/>
      <protection locked="0"/>
    </xf>
    <xf numFmtId="164" fontId="0" fillId="7" borderId="8" xfId="0" applyNumberFormat="1" applyFill="1" applyBorder="1" applyAlignment="1">
      <alignment horizontal="center" vertical="center"/>
    </xf>
    <xf numFmtId="2" fontId="0" fillId="6" borderId="8" xfId="0" applyNumberFormat="1" applyFill="1" applyBorder="1" applyAlignment="1">
      <alignment horizontal="center" vertical="center"/>
    </xf>
    <xf numFmtId="0" fontId="2" fillId="4" borderId="5" xfId="0" applyFont="1" applyFill="1" applyBorder="1" applyAlignment="1">
      <alignment horizontal="center" vertical="center" wrapText="1"/>
    </xf>
    <xf numFmtId="0" fontId="1" fillId="5" borderId="1" xfId="0" applyFont="1" applyFill="1" applyBorder="1" applyAlignment="1">
      <alignment horizontal="center" vertical="center"/>
    </xf>
    <xf numFmtId="2" fontId="0" fillId="8" borderId="9" xfId="0" applyNumberFormat="1" applyFill="1" applyBorder="1" applyAlignment="1">
      <alignment horizontal="center" vertical="center"/>
    </xf>
    <xf numFmtId="2" fontId="0" fillId="8" borderId="8" xfId="0" applyNumberFormat="1" applyFill="1" applyBorder="1" applyAlignment="1">
      <alignment horizontal="center" vertical="center"/>
    </xf>
    <xf numFmtId="2" fontId="3" fillId="8" borderId="9" xfId="0" applyNumberFormat="1" applyFont="1" applyFill="1" applyBorder="1" applyAlignment="1">
      <alignment horizontal="center" vertical="center"/>
    </xf>
    <xf numFmtId="2" fontId="3" fillId="8" borderId="8" xfId="0" applyNumberFormat="1" applyFont="1" applyFill="1" applyBorder="1" applyAlignment="1">
      <alignment horizontal="center" vertical="center"/>
    </xf>
    <xf numFmtId="0" fontId="0" fillId="0" borderId="0" xfId="0" applyAlignment="1">
      <alignment horizontal="center"/>
    </xf>
    <xf numFmtId="2" fontId="1" fillId="0" borderId="8" xfId="0" applyNumberFormat="1" applyFont="1" applyBorder="1" applyAlignment="1" applyProtection="1">
      <alignment horizontal="center" vertical="center"/>
      <protection locked="0"/>
    </xf>
    <xf numFmtId="164" fontId="1" fillId="0" borderId="8" xfId="0" applyNumberFormat="1" applyFont="1" applyBorder="1" applyAlignment="1" applyProtection="1">
      <alignment horizontal="center" vertical="center"/>
      <protection locked="0"/>
    </xf>
    <xf numFmtId="0" fontId="0" fillId="0" borderId="15" xfId="0" applyBorder="1" applyAlignment="1">
      <alignment horizontal="center"/>
    </xf>
    <xf numFmtId="0" fontId="7" fillId="0" borderId="0" xfId="0" applyFont="1" applyAlignment="1">
      <alignment horizontal="left" wrapText="1"/>
    </xf>
    <xf numFmtId="0" fontId="4"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4"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7" xfId="0" applyFont="1" applyFill="1" applyBorder="1" applyAlignment="1">
      <alignment horizontal="center" vertical="center"/>
    </xf>
    <xf numFmtId="0" fontId="1" fillId="5" borderId="1"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abSelected="1" zoomScaleNormal="100" workbookViewId="0">
      <selection activeCell="A28" sqref="A28:N28"/>
    </sheetView>
  </sheetViews>
  <sheetFormatPr defaultRowHeight="12.75" x14ac:dyDescent="0.2"/>
  <cols>
    <col min="1" max="1" width="5.42578125" customWidth="1"/>
    <col min="2" max="3" width="6" customWidth="1"/>
    <col min="4" max="4" width="9.42578125" customWidth="1"/>
    <col min="5" max="5" width="11" customWidth="1"/>
    <col min="6" max="6" width="10.42578125" customWidth="1"/>
    <col min="7" max="7" width="11.85546875" customWidth="1"/>
    <col min="8" max="10" width="9" customWidth="1"/>
    <col min="11" max="12" width="9.5703125" customWidth="1"/>
    <col min="13" max="13" width="7.28515625" customWidth="1"/>
    <col min="14" max="14" width="8" customWidth="1"/>
    <col min="17" max="17" width="12" customWidth="1"/>
  </cols>
  <sheetData>
    <row r="1" spans="1:14" s="17" customFormat="1" ht="13.5" thickBot="1" x14ac:dyDescent="0.25">
      <c r="A1" s="20" t="s">
        <v>27</v>
      </c>
      <c r="B1" s="20" t="s">
        <v>28</v>
      </c>
      <c r="C1" s="20" t="s">
        <v>29</v>
      </c>
      <c r="D1" s="20" t="s">
        <v>30</v>
      </c>
      <c r="E1" s="20" t="s">
        <v>31</v>
      </c>
      <c r="F1" s="20" t="s">
        <v>32</v>
      </c>
      <c r="G1" s="20" t="s">
        <v>33</v>
      </c>
      <c r="H1" s="20" t="s">
        <v>34</v>
      </c>
      <c r="I1" s="20" t="s">
        <v>35</v>
      </c>
      <c r="J1" s="20" t="s">
        <v>36</v>
      </c>
      <c r="K1" s="20" t="s">
        <v>37</v>
      </c>
      <c r="L1" s="20" t="s">
        <v>38</v>
      </c>
      <c r="M1" s="20" t="s">
        <v>39</v>
      </c>
      <c r="N1" s="20" t="s">
        <v>40</v>
      </c>
    </row>
    <row r="2" spans="1:14" ht="13.5" customHeight="1" thickBot="1" x14ac:dyDescent="0.25">
      <c r="A2" s="25" t="s">
        <v>0</v>
      </c>
      <c r="B2" s="26"/>
      <c r="C2" s="26"/>
      <c r="D2" s="26"/>
      <c r="E2" s="26"/>
      <c r="F2" s="26"/>
      <c r="G2" s="26"/>
      <c r="H2" s="26"/>
      <c r="I2" s="26"/>
      <c r="J2" s="26"/>
      <c r="K2" s="26"/>
      <c r="L2" s="26"/>
      <c r="M2" s="26"/>
      <c r="N2" s="27"/>
    </row>
    <row r="3" spans="1:14" ht="13.5" customHeight="1" thickBot="1" x14ac:dyDescent="0.25">
      <c r="A3" s="37" t="s">
        <v>1</v>
      </c>
      <c r="B3" s="37" t="s">
        <v>2</v>
      </c>
      <c r="C3" s="37" t="s">
        <v>3</v>
      </c>
      <c r="D3" s="28" t="s">
        <v>4</v>
      </c>
      <c r="E3" s="29"/>
      <c r="F3" s="29"/>
      <c r="G3" s="29"/>
      <c r="H3" s="34" t="s">
        <v>16</v>
      </c>
      <c r="I3" s="35"/>
      <c r="J3" s="35"/>
      <c r="K3" s="35"/>
      <c r="L3" s="35"/>
      <c r="M3" s="35"/>
      <c r="N3" s="36"/>
    </row>
    <row r="4" spans="1:14" ht="13.5" customHeight="1" thickBot="1" x14ac:dyDescent="0.25">
      <c r="A4" s="38"/>
      <c r="B4" s="38"/>
      <c r="C4" s="38"/>
      <c r="D4" s="30" t="s">
        <v>5</v>
      </c>
      <c r="E4" s="31"/>
      <c r="F4" s="30" t="s">
        <v>13</v>
      </c>
      <c r="G4" s="31"/>
      <c r="H4" s="34" t="s">
        <v>15</v>
      </c>
      <c r="I4" s="35"/>
      <c r="J4" s="36"/>
      <c r="K4" s="34" t="s">
        <v>17</v>
      </c>
      <c r="L4" s="35"/>
      <c r="M4" s="35"/>
      <c r="N4" s="36"/>
    </row>
    <row r="5" spans="1:14" ht="13.5" thickBot="1" x14ac:dyDescent="0.25">
      <c r="A5" s="38"/>
      <c r="B5" s="38"/>
      <c r="C5" s="38"/>
      <c r="D5" s="32"/>
      <c r="E5" s="33"/>
      <c r="F5" s="32"/>
      <c r="G5" s="33"/>
      <c r="H5" s="34" t="s">
        <v>5</v>
      </c>
      <c r="I5" s="36"/>
      <c r="J5" s="12" t="s">
        <v>6</v>
      </c>
      <c r="K5" s="34" t="s">
        <v>5</v>
      </c>
      <c r="L5" s="36"/>
      <c r="M5" s="34" t="s">
        <v>6</v>
      </c>
      <c r="N5" s="36"/>
    </row>
    <row r="6" spans="1:14" ht="15" customHeight="1" thickBot="1" x14ac:dyDescent="0.25">
      <c r="A6" s="38"/>
      <c r="B6" s="38"/>
      <c r="C6" s="38"/>
      <c r="D6" s="40" t="s">
        <v>7</v>
      </c>
      <c r="E6" s="41"/>
      <c r="F6" s="40" t="s">
        <v>8</v>
      </c>
      <c r="G6" s="41"/>
      <c r="H6" s="47" t="s">
        <v>7</v>
      </c>
      <c r="I6" s="48"/>
      <c r="J6" s="12" t="s">
        <v>8</v>
      </c>
      <c r="K6" s="47" t="s">
        <v>7</v>
      </c>
      <c r="L6" s="48"/>
      <c r="M6" s="34" t="s">
        <v>8</v>
      </c>
      <c r="N6" s="36"/>
    </row>
    <row r="7" spans="1:14" ht="15" customHeight="1" thickBot="1" x14ac:dyDescent="0.25">
      <c r="A7" s="38"/>
      <c r="B7" s="38"/>
      <c r="C7" s="38"/>
      <c r="D7" s="42"/>
      <c r="E7" s="43"/>
      <c r="F7" s="42"/>
      <c r="G7" s="43"/>
      <c r="H7" s="44" t="s">
        <v>18</v>
      </c>
      <c r="I7" s="44" t="s">
        <v>19</v>
      </c>
      <c r="J7" s="44" t="s">
        <v>20</v>
      </c>
      <c r="K7" s="46" t="s">
        <v>18</v>
      </c>
      <c r="L7" s="44" t="s">
        <v>19</v>
      </c>
      <c r="M7" s="44" t="s">
        <v>9</v>
      </c>
      <c r="N7" s="44" t="s">
        <v>10</v>
      </c>
    </row>
    <row r="8" spans="1:14" ht="21" customHeight="1" thickBot="1" x14ac:dyDescent="0.25">
      <c r="A8" s="39"/>
      <c r="B8" s="39"/>
      <c r="C8" s="39"/>
      <c r="D8" s="11" t="s">
        <v>11</v>
      </c>
      <c r="E8" s="11" t="s">
        <v>12</v>
      </c>
      <c r="F8" s="11" t="s">
        <v>9</v>
      </c>
      <c r="G8" s="11" t="s">
        <v>10</v>
      </c>
      <c r="H8" s="45"/>
      <c r="I8" s="45"/>
      <c r="J8" s="45"/>
      <c r="K8" s="45"/>
      <c r="L8" s="45"/>
      <c r="M8" s="45"/>
      <c r="N8" s="45"/>
    </row>
    <row r="9" spans="1:14" ht="13.5" thickBot="1" x14ac:dyDescent="0.25">
      <c r="A9" s="1">
        <v>8.3000000000000007</v>
      </c>
      <c r="B9" s="2">
        <v>65</v>
      </c>
      <c r="C9" s="3">
        <f>((B9-32)/9)*5</f>
        <v>18.333333333333332</v>
      </c>
      <c r="D9" s="4">
        <f>(0.411/(1+10^(7.204-$A9))+58.4/(1+10^($A9-7.204)))</f>
        <v>4.7148228824242553</v>
      </c>
      <c r="E9" s="4">
        <f>(0.275/(1+10^(7.204-$A9))+39/(1+10^($A9-7.204)))</f>
        <v>3.1490888982717293</v>
      </c>
      <c r="F9" s="15">
        <f>((0.0577/(1+10^(7.688-$A9))+2.487/(1+10^($A9-7.688)))*1.45*10^(0.028*(25-MAX($C9,7))))</f>
        <v>1.1916948224121309</v>
      </c>
      <c r="G9" s="15">
        <f>((0.0577/(1+10^(7.688-$A9))+2.487/(1+10^($A9-7.688)))*MIN(2.85,1.45*10^(0.028*(25-$C9))))</f>
        <v>1.1916948224121309</v>
      </c>
      <c r="H9" s="4">
        <f>(0.7249*(0.0114/(1+10^(7.204-A9))+1.6181/(1+10^(A9-7.204))))*(MIN(51.93,(23.12*(10^(0.036*(20-C9))))))</f>
        <v>2.5139799731602936</v>
      </c>
      <c r="I9" s="4">
        <f t="shared" ref="I9:I20" si="0">MIN(((0.275/(1+10^(7.204-$A9)))+(39/(1+10^($A9-7.204)))),(0.7249*((0.0114/(1+10^(7.204-$A9)))+(1.6181/(1+10^($A9-7.204))))*(23.12*10^(0.036*(20-$C9)))))</f>
        <v>2.5139799731602936</v>
      </c>
      <c r="J9" s="13">
        <f>(0.8876*(0.0278/(1+10^(7.688-A9))+1.1994/(1+10^(A9-7.688))))*2.126*(10^(0.028*(20-MAX(C9,7))))</f>
        <v>0.54178817349863484</v>
      </c>
      <c r="K9" s="4">
        <f>(0.7249*(0.0114/(1+10^(7.204-A9))+1.6181/(1+10^(A9-7.204))))*(MIN(51.93,(62.15*(10^(0.036*(20-C9))))))</f>
        <v>4.9180428295197531</v>
      </c>
      <c r="L9" s="4">
        <f t="shared" ref="L9:L20" si="1">MIN(((0.275/(1+10^(7.204-$A9)))+(39/(1+10^($A9-7.204)))),(0.7249*((0.0114/(1+10^(7.204-$A9)))+(1.6181/(1+10^($A9-7.204))))*(62.15*10^(0.036*(20-$C9)))))</f>
        <v>3.1490888982717293</v>
      </c>
      <c r="M9" s="13">
        <f>(0.9405*(0.0278/(1+10^(7.688-A9))+1.1994/(1+10^(A9-7.688))))*7.547*(10^(0.028*(20-MAX(C9,7))))</f>
        <v>2.0378964692294645</v>
      </c>
      <c r="N9" s="13">
        <f>(0.9405*(0.0278/(1+10^(7.688-A9))+1.1994/(1+10^(A9-7.688))))*MIN(6.92,(7.547*10^(0.028*(20-C9))))</f>
        <v>1.6782134394066162</v>
      </c>
    </row>
    <row r="10" spans="1:14" ht="13.5" thickBot="1" x14ac:dyDescent="0.25">
      <c r="A10" s="5">
        <v>7.7</v>
      </c>
      <c r="B10" s="6">
        <v>66</v>
      </c>
      <c r="C10" s="3">
        <f>((B10-32)/9)*5</f>
        <v>18.888888888888889</v>
      </c>
      <c r="D10" s="4">
        <f t="shared" ref="D10:D20" si="2">(0.411/(1+10^(7.204-$A10))+58.4/(1+10^($A10-7.204)))</f>
        <v>14.440758373310162</v>
      </c>
      <c r="E10" s="4">
        <f t="shared" ref="E10:E20" si="3">(0.275/(1+10^(7.204-$A10))+39/(1+10^($A10-7.204)))</f>
        <v>9.644059528642261</v>
      </c>
      <c r="F10" s="15">
        <f t="shared" ref="F10:F20" si="4">((0.0577/(1+10^(7.688-$A10))+2.487/(1+10^($A10-7.688)))*1.45*10^(0.028*(25-MAX($C10,7))))</f>
        <v>2.6997283282942091</v>
      </c>
      <c r="G10" s="15">
        <f t="shared" ref="G10:G20" si="5">((0.0577/(1+10^(7.688-$A10))+2.487/(1+10^($A10-7.688)))*MIN(2.85,1.45*10^(0.028*(25-$C10))))</f>
        <v>2.6997283282942095</v>
      </c>
      <c r="H10" s="4">
        <f t="shared" ref="H10:H20" si="6">(0.7249*(0.0114/(1+10^(7.204-A10))+1.6181/(1+10^(A10-7.204))))*(MIN(51.93,(23.12*(10^(0.036*(20-C10))))))</f>
        <v>7.3528989667019458</v>
      </c>
      <c r="I10" s="4">
        <f t="shared" si="0"/>
        <v>7.3528989667019458</v>
      </c>
      <c r="J10" s="13">
        <f t="shared" ref="J10:J20" si="7">(0.8876*(0.0278/(1+10^(7.688-A10))+1.1994/(1+10^(A10-7.688))))*2.126*(10^(0.028*(20-MAX(C10,7))))</f>
        <v>1.2274706369511723</v>
      </c>
      <c r="K10" s="4">
        <f t="shared" ref="K10:K20" si="8">(0.7249*(0.0114/(1+10^(7.204-A10))+1.6181/(1+10^(A10-7.204))))*(MIN(51.93,(62.15*(10^(0.036*(20-C10))))))</f>
        <v>15.062223632509161</v>
      </c>
      <c r="L10" s="4">
        <f t="shared" si="1"/>
        <v>9.644059528642261</v>
      </c>
      <c r="M10" s="13">
        <f t="shared" ref="M10:M20" si="9">(0.9405*(0.0278/(1+10^(7.688-A10))+1.1994/(1+10^(A10-7.688))))*7.547*(10^(0.028*(20-MAX(C10,7))))</f>
        <v>4.6170407540871494</v>
      </c>
      <c r="N10" s="13">
        <f t="shared" ref="N10:N20" si="10">(0.9405*(0.0278/(1+10^(7.688-A10))+1.1994/(1+10^(A10-7.688))))*MIN(6.92,(7.547*10^(0.028*(20-C10))))</f>
        <v>3.9407995181208091</v>
      </c>
    </row>
    <row r="11" spans="1:14" ht="13.5" thickBot="1" x14ac:dyDescent="0.25">
      <c r="A11" s="5">
        <v>7.7</v>
      </c>
      <c r="B11" s="6">
        <v>63</v>
      </c>
      <c r="C11" s="3">
        <f>((B11-32)/9)*5</f>
        <v>17.222222222222221</v>
      </c>
      <c r="D11" s="4">
        <f t="shared" si="2"/>
        <v>14.440758373310162</v>
      </c>
      <c r="E11" s="4">
        <f t="shared" si="3"/>
        <v>9.644059528642261</v>
      </c>
      <c r="F11" s="15">
        <f t="shared" si="4"/>
        <v>3.0059844544304872</v>
      </c>
      <c r="G11" s="15">
        <f t="shared" si="5"/>
        <v>3.0059844544304872</v>
      </c>
      <c r="H11" s="4">
        <f t="shared" si="6"/>
        <v>8.4422575771195287</v>
      </c>
      <c r="I11" s="4">
        <f t="shared" si="0"/>
        <v>8.4422575771195287</v>
      </c>
      <c r="J11" s="13">
        <f t="shared" si="7"/>
        <v>1.3667144261424415</v>
      </c>
      <c r="K11" s="4">
        <f t="shared" si="8"/>
        <v>15.062223632509161</v>
      </c>
      <c r="L11" s="4">
        <f t="shared" si="1"/>
        <v>9.644059528642261</v>
      </c>
      <c r="M11" s="13">
        <f t="shared" si="9"/>
        <v>5.1407960522557872</v>
      </c>
      <c r="N11" s="13">
        <f t="shared" si="10"/>
        <v>3.9407995181208091</v>
      </c>
    </row>
    <row r="12" spans="1:14" ht="13.5" thickBot="1" x14ac:dyDescent="0.25">
      <c r="A12" s="5">
        <v>8</v>
      </c>
      <c r="B12" s="6">
        <v>68</v>
      </c>
      <c r="C12" s="3">
        <f>((B12-32)/9)*5</f>
        <v>20</v>
      </c>
      <c r="D12" s="4">
        <f t="shared" si="2"/>
        <v>8.4075779982751513</v>
      </c>
      <c r="E12" s="4">
        <f t="shared" si="3"/>
        <v>5.6151073131663809</v>
      </c>
      <c r="F12" s="15">
        <f t="shared" si="4"/>
        <v>1.7091065048313752</v>
      </c>
      <c r="G12" s="15">
        <f t="shared" si="5"/>
        <v>1.7091065048313752</v>
      </c>
      <c r="H12" s="4">
        <f t="shared" si="6"/>
        <v>3.9043539769830518</v>
      </c>
      <c r="I12" s="4">
        <f t="shared" si="0"/>
        <v>3.9043539769830518</v>
      </c>
      <c r="J12" s="13">
        <f t="shared" si="7"/>
        <v>0.77705346317105251</v>
      </c>
      <c r="K12" s="4">
        <f t="shared" si="8"/>
        <v>8.7695978384398732</v>
      </c>
      <c r="L12" s="4">
        <f t="shared" si="1"/>
        <v>5.6151073131663809</v>
      </c>
      <c r="M12" s="13">
        <f t="shared" si="9"/>
        <v>2.922829597355185</v>
      </c>
      <c r="N12" s="13">
        <f t="shared" si="10"/>
        <v>2.6800027578770211</v>
      </c>
    </row>
    <row r="13" spans="1:14" ht="13.5" thickBot="1" x14ac:dyDescent="0.25">
      <c r="A13" s="7">
        <v>8.1999999999999993</v>
      </c>
      <c r="B13" s="8">
        <v>72</v>
      </c>
      <c r="C13" s="9">
        <f>((B13-32)/9)*5</f>
        <v>22.222222222222221</v>
      </c>
      <c r="D13" s="4">
        <f t="shared" si="2"/>
        <v>5.7270342682942381</v>
      </c>
      <c r="E13" s="4">
        <f t="shared" si="3"/>
        <v>3.8250427156821876</v>
      </c>
      <c r="F13" s="16">
        <f t="shared" si="4"/>
        <v>1.0912455698215049</v>
      </c>
      <c r="G13" s="15">
        <f t="shared" si="5"/>
        <v>1.0912455698215049</v>
      </c>
      <c r="H13" s="10">
        <f t="shared" si="6"/>
        <v>2.2121720903874977</v>
      </c>
      <c r="I13" s="10">
        <f t="shared" si="0"/>
        <v>2.2121720903874977</v>
      </c>
      <c r="J13" s="14">
        <f t="shared" si="7"/>
        <v>0.49612819932892899</v>
      </c>
      <c r="K13" s="10">
        <f t="shared" si="8"/>
        <v>5.9466477256740049</v>
      </c>
      <c r="L13" s="10">
        <f t="shared" si="1"/>
        <v>3.8250427156821876</v>
      </c>
      <c r="M13" s="14">
        <f t="shared" si="9"/>
        <v>1.8661498259894078</v>
      </c>
      <c r="N13" s="14">
        <f t="shared" si="10"/>
        <v>1.8661498259894078</v>
      </c>
    </row>
    <row r="14" spans="1:14" ht="13.5" thickBot="1" x14ac:dyDescent="0.25">
      <c r="A14" s="7">
        <v>8.3000000000000007</v>
      </c>
      <c r="B14" s="8">
        <v>74</v>
      </c>
      <c r="C14" s="9">
        <f t="shared" ref="C14:C16" si="11">((B14-32)/9)*5</f>
        <v>23.333333333333336</v>
      </c>
      <c r="D14" s="4">
        <f t="shared" si="2"/>
        <v>4.7148228824242553</v>
      </c>
      <c r="E14" s="4">
        <f t="shared" si="3"/>
        <v>3.1490888982717293</v>
      </c>
      <c r="F14" s="16">
        <f t="shared" si="4"/>
        <v>0.86330658279052663</v>
      </c>
      <c r="G14" s="15">
        <f t="shared" si="5"/>
        <v>0.86330658279052652</v>
      </c>
      <c r="H14" s="10">
        <f t="shared" si="6"/>
        <v>1.6609700966893179</v>
      </c>
      <c r="I14" s="10">
        <f t="shared" si="0"/>
        <v>1.6609700966893179</v>
      </c>
      <c r="J14" s="14">
        <f t="shared" si="7"/>
        <v>0.39249083562575865</v>
      </c>
      <c r="K14" s="10">
        <f t="shared" si="8"/>
        <v>4.4649347538599091</v>
      </c>
      <c r="L14" s="10">
        <f t="shared" si="1"/>
        <v>3.1490888982717293</v>
      </c>
      <c r="M14" s="14">
        <f t="shared" si="9"/>
        <v>1.4763254852196792</v>
      </c>
      <c r="N14" s="14">
        <f t="shared" si="10"/>
        <v>1.4763254852196792</v>
      </c>
    </row>
    <row r="15" spans="1:14" ht="13.5" thickBot="1" x14ac:dyDescent="0.25">
      <c r="A15" s="7">
        <v>8.1</v>
      </c>
      <c r="B15" s="8">
        <v>75</v>
      </c>
      <c r="C15" s="9">
        <f t="shared" si="11"/>
        <v>23.888888888888889</v>
      </c>
      <c r="D15" s="4">
        <f t="shared" si="2"/>
        <v>6.948317540274032</v>
      </c>
      <c r="E15" s="4">
        <f t="shared" si="3"/>
        <v>4.6406145432256443</v>
      </c>
      <c r="F15" s="16">
        <f t="shared" si="4"/>
        <v>1.1462168841828797</v>
      </c>
      <c r="G15" s="15">
        <f t="shared" si="5"/>
        <v>1.1462168841828797</v>
      </c>
      <c r="H15" s="10">
        <f t="shared" si="6"/>
        <v>2.3375602023571207</v>
      </c>
      <c r="I15" s="10">
        <f t="shared" si="0"/>
        <v>2.3375602023571207</v>
      </c>
      <c r="J15" s="14">
        <f t="shared" si="7"/>
        <v>0.52112741883508895</v>
      </c>
      <c r="K15" s="10">
        <f t="shared" si="8"/>
        <v>6.2837096270110315</v>
      </c>
      <c r="L15" s="10">
        <f t="shared" si="1"/>
        <v>4.6406145432256443</v>
      </c>
      <c r="M15" s="14">
        <f t="shared" si="9"/>
        <v>1.9601825562280721</v>
      </c>
      <c r="N15" s="14">
        <f t="shared" si="10"/>
        <v>1.9601825562280719</v>
      </c>
    </row>
    <row r="16" spans="1:14" ht="13.5" thickBot="1" x14ac:dyDescent="0.25">
      <c r="A16" s="7">
        <v>8.4</v>
      </c>
      <c r="B16" s="8">
        <v>79</v>
      </c>
      <c r="C16" s="9">
        <f t="shared" si="11"/>
        <v>26.111111111111111</v>
      </c>
      <c r="D16" s="10">
        <f t="shared" si="2"/>
        <v>3.8826410021556104</v>
      </c>
      <c r="E16" s="10">
        <f t="shared" si="3"/>
        <v>2.5933586164354621</v>
      </c>
      <c r="F16" s="16">
        <f t="shared" si="4"/>
        <v>0.6108496534728064</v>
      </c>
      <c r="G16" s="16">
        <f t="shared" si="5"/>
        <v>0.61084965347280629</v>
      </c>
      <c r="H16" s="10">
        <f t="shared" si="6"/>
        <v>1.086506990732043</v>
      </c>
      <c r="I16" s="10">
        <f t="shared" si="0"/>
        <v>1.086506990732043</v>
      </c>
      <c r="J16" s="14">
        <f t="shared" si="7"/>
        <v>0.27770928125201405</v>
      </c>
      <c r="K16" s="10">
        <f t="shared" si="8"/>
        <v>2.9206924512974251</v>
      </c>
      <c r="L16" s="10">
        <f t="shared" si="1"/>
        <v>2.5933586164354621</v>
      </c>
      <c r="M16" s="14">
        <f t="shared" si="9"/>
        <v>1.0445830887764067</v>
      </c>
      <c r="N16" s="14">
        <f t="shared" si="10"/>
        <v>1.0445830887764067</v>
      </c>
    </row>
    <row r="17" spans="1:14" ht="13.5" thickBot="1" x14ac:dyDescent="0.25">
      <c r="A17" s="5">
        <v>8.1</v>
      </c>
      <c r="B17" s="6">
        <v>79</v>
      </c>
      <c r="C17" s="3">
        <f>((B17-32)/9)*5</f>
        <v>26.111111111111111</v>
      </c>
      <c r="D17" s="4">
        <f t="shared" si="2"/>
        <v>6.948317540274032</v>
      </c>
      <c r="E17" s="4">
        <f t="shared" si="3"/>
        <v>4.6406145432256443</v>
      </c>
      <c r="F17" s="15">
        <f t="shared" si="4"/>
        <v>0.99321799456965898</v>
      </c>
      <c r="G17" s="15">
        <f t="shared" si="5"/>
        <v>0.99321799456965887</v>
      </c>
      <c r="H17" s="4">
        <f t="shared" si="6"/>
        <v>1.9442978890920817</v>
      </c>
      <c r="I17" s="4">
        <f t="shared" si="0"/>
        <v>1.9442978890920817</v>
      </c>
      <c r="J17" s="13">
        <f t="shared" si="7"/>
        <v>0.45156648535990973</v>
      </c>
      <c r="K17" s="4">
        <f t="shared" si="8"/>
        <v>5.226562015876854</v>
      </c>
      <c r="L17" s="4">
        <f t="shared" si="1"/>
        <v>4.6406145432256443</v>
      </c>
      <c r="M17" s="13">
        <f t="shared" si="9"/>
        <v>1.69853420792626</v>
      </c>
      <c r="N17" s="13">
        <f t="shared" si="10"/>
        <v>1.6985342079262598</v>
      </c>
    </row>
    <row r="18" spans="1:14" ht="13.5" thickBot="1" x14ac:dyDescent="0.25">
      <c r="A18" s="5">
        <v>8.3000000000000007</v>
      </c>
      <c r="B18" s="6">
        <v>76</v>
      </c>
      <c r="C18" s="3">
        <f>((B18-32)/9)*5</f>
        <v>24.444444444444446</v>
      </c>
      <c r="D18" s="4">
        <f t="shared" si="2"/>
        <v>4.7148228824242553</v>
      </c>
      <c r="E18" s="4">
        <f t="shared" si="3"/>
        <v>3.1490888982717293</v>
      </c>
      <c r="F18" s="15">
        <f t="shared" si="4"/>
        <v>0.80362592997783178</v>
      </c>
      <c r="G18" s="15">
        <f t="shared" si="5"/>
        <v>0.80362592997783178</v>
      </c>
      <c r="H18" s="4">
        <f t="shared" si="6"/>
        <v>1.5148227320266912</v>
      </c>
      <c r="I18" s="4">
        <f t="shared" si="0"/>
        <v>1.5148227320266912</v>
      </c>
      <c r="J18" s="13">
        <f t="shared" si="7"/>
        <v>0.36535782197789568</v>
      </c>
      <c r="K18" s="4">
        <f t="shared" si="8"/>
        <v>4.072068892537148</v>
      </c>
      <c r="L18" s="4">
        <f t="shared" si="1"/>
        <v>3.1490888982717293</v>
      </c>
      <c r="M18" s="13">
        <f t="shared" si="9"/>
        <v>1.3742666448513703</v>
      </c>
      <c r="N18" s="13">
        <f t="shared" si="10"/>
        <v>1.3742666448513703</v>
      </c>
    </row>
    <row r="19" spans="1:14" ht="13.5" thickBot="1" x14ac:dyDescent="0.25">
      <c r="A19" s="5">
        <v>8.3000000000000007</v>
      </c>
      <c r="B19" s="6">
        <v>71</v>
      </c>
      <c r="C19" s="3">
        <f>((B19-32)/9)*5</f>
        <v>21.666666666666664</v>
      </c>
      <c r="D19" s="4">
        <f t="shared" si="2"/>
        <v>4.7148228824242553</v>
      </c>
      <c r="E19" s="4">
        <f t="shared" si="3"/>
        <v>3.1490888982717293</v>
      </c>
      <c r="F19" s="15">
        <f t="shared" si="4"/>
        <v>0.96123974404324752</v>
      </c>
      <c r="G19" s="15">
        <f t="shared" si="5"/>
        <v>0.96123974404324741</v>
      </c>
      <c r="H19" s="4">
        <f t="shared" si="6"/>
        <v>1.9070488317118683</v>
      </c>
      <c r="I19" s="4">
        <f t="shared" si="0"/>
        <v>1.9070488317118683</v>
      </c>
      <c r="J19" s="13">
        <f t="shared" si="7"/>
        <v>0.43701484257970447</v>
      </c>
      <c r="K19" s="4">
        <f t="shared" si="8"/>
        <v>4.9180428295197531</v>
      </c>
      <c r="L19" s="4">
        <f t="shared" si="1"/>
        <v>3.1490888982717293</v>
      </c>
      <c r="M19" s="13">
        <f t="shared" si="9"/>
        <v>1.6437992711118012</v>
      </c>
      <c r="N19" s="13">
        <f t="shared" si="10"/>
        <v>1.6437992711118012</v>
      </c>
    </row>
    <row r="20" spans="1:14" ht="13.5" thickBot="1" x14ac:dyDescent="0.25">
      <c r="A20" s="7">
        <v>7.9</v>
      </c>
      <c r="B20" s="8">
        <v>67</v>
      </c>
      <c r="C20" s="9">
        <f>((B20-32)/9)*5</f>
        <v>19.444444444444443</v>
      </c>
      <c r="D20" s="4">
        <f t="shared" si="2"/>
        <v>10.131037941324269</v>
      </c>
      <c r="E20" s="4">
        <f t="shared" si="3"/>
        <v>6.7660322522854743</v>
      </c>
      <c r="F20" s="16">
        <f t="shared" si="4"/>
        <v>2.0364503351840546</v>
      </c>
      <c r="G20" s="15">
        <f t="shared" si="5"/>
        <v>2.0364503351840546</v>
      </c>
      <c r="H20" s="10">
        <f t="shared" si="6"/>
        <v>4.9263842043072144</v>
      </c>
      <c r="I20" s="10">
        <f t="shared" si="0"/>
        <v>4.9263842043072144</v>
      </c>
      <c r="J20" s="14">
        <f t="shared" si="7"/>
        <v>0.92588994802411728</v>
      </c>
      <c r="K20" s="10">
        <f t="shared" si="8"/>
        <v>10.567171890353269</v>
      </c>
      <c r="L20" s="10">
        <f t="shared" si="1"/>
        <v>6.7660322522854743</v>
      </c>
      <c r="M20" s="14">
        <f t="shared" si="9"/>
        <v>3.4826671165389609</v>
      </c>
      <c r="N20" s="14">
        <f t="shared" si="10"/>
        <v>3.0809748573478259</v>
      </c>
    </row>
    <row r="21" spans="1:14" ht="13.5" thickBot="1" x14ac:dyDescent="0.25">
      <c r="A21" s="7" t="s">
        <v>14</v>
      </c>
      <c r="B21" s="8" t="s">
        <v>14</v>
      </c>
      <c r="C21" s="9" t="str">
        <f>IFERROR(((B21-32)/9)*5,"--")</f>
        <v>--</v>
      </c>
      <c r="D21" s="4" t="str">
        <f>IFERROR((0.411/(1+10^(7.204-$A21))+58.4/(1+10^($A21-7.204))),"--")</f>
        <v>--</v>
      </c>
      <c r="E21" s="4" t="str">
        <f>IFERROR((0.275/(1+10^(7.204-$A21))+39/(1+10^($A21-7.204))),"--")</f>
        <v>--</v>
      </c>
      <c r="F21" s="16" t="str">
        <f>IFERROR(((0.0577/(1+10^(7.688-$A21))+2.487/(1+10^($A21-7.688)))*1.45*10^(0.028*(25-MAX($C21,7)))),"--")</f>
        <v>--</v>
      </c>
      <c r="G21" s="15" t="str">
        <f>IFERROR(((0.0577/(1+10^(7.688-$A21))+2.487/(1+10^($A21-7.688)))*MIN(2.85,1.45*10^(0.028*(25-$C21)))),"--")</f>
        <v>--</v>
      </c>
      <c r="H21" s="10" t="str">
        <f>IFERROR((0.7249*(0.0114/(1+10^(7.204-A21))+1.6181/(1+10^(A21-7.204))))*(MIN(51.93,(23.12*(10^(0.036*(20-C21)))))),"--")</f>
        <v>--</v>
      </c>
      <c r="I21" s="10" t="str">
        <f>IFERROR(MIN(((0.275/(1+10^(7.204-$A21)))+(39/(1+10^($A21-7.204)))),(0.7249*((0.0114/(1+10^(7.204-$A21)))+(1.6181/(1+10^($A21-7.204))))*(23.12*10^(0.036*(20-$C21))))),"--")</f>
        <v>--</v>
      </c>
      <c r="J21" s="14" t="str">
        <f>IFERROR((0.8876*(0.0278/(1+10^(7.688-A21))+1.1994/(1+10^(A21-7.688))))*2.126*(10^(0.028*(20-MAX(C21,7)))),"--")</f>
        <v>--</v>
      </c>
      <c r="K21" s="10" t="str">
        <f>IFERROR((0.7249*(0.0114/(1+10^(7.204-A21))+1.6181/(1+10^(A21-7.204))))*(MIN(51.93,(62.15*(10^(0.036*(20-C21)))))),"--")</f>
        <v>--</v>
      </c>
      <c r="L21" s="10" t="str">
        <f>IFERROR(MIN(((0.275/(1+10^(7.204-$A21)))+(39/(1+10^($A21-7.204)))),(0.7249*((0.0114/(1+10^(7.204-$A21)))+(1.6181/(1+10^($A21-7.204))))*(62.15*10^(0.036*(20-$C21))))),"--")</f>
        <v>--</v>
      </c>
      <c r="M21" s="14" t="str">
        <f>IFERROR((0.9405*(0.0278/(1+10^(7.688-A21))+1.1994/(1+10^(A21-7.688))))*7.547*(10^(0.028*(20-MAX(C21,7)))),"--")</f>
        <v>--</v>
      </c>
      <c r="N21" s="14" t="str">
        <f>IFERROR((0.9405*(0.0278/(1+10^(7.688-A21))+1.1994/(1+10^(A21-7.688))))*MIN(6.92,(7.547*10^(0.028*(20-C21)))),"--")</f>
        <v>--</v>
      </c>
    </row>
    <row r="22" spans="1:14" ht="13.5" thickBot="1" x14ac:dyDescent="0.25">
      <c r="A22" s="7" t="s">
        <v>14</v>
      </c>
      <c r="B22" s="8" t="s">
        <v>14</v>
      </c>
      <c r="C22" s="9" t="str">
        <f t="shared" ref="C22:C23" si="12">IFERROR(((B22-32)/9)*5,"--")</f>
        <v>--</v>
      </c>
      <c r="D22" s="4" t="str">
        <f t="shared" ref="D22:D23" si="13">IFERROR((0.411/(1+10^(7.204-$A22))+58.4/(1+10^($A22-7.204))),"--")</f>
        <v>--</v>
      </c>
      <c r="E22" s="4" t="str">
        <f>IFERROR((0.275/(1+10^(7.204-$A22))+39/(1+10^($A22-7.204))),"--")</f>
        <v>--</v>
      </c>
      <c r="F22" s="16" t="str">
        <f t="shared" ref="F22:F23" si="14">IFERROR(((0.0577/(1+10^(7.688-$A22))+2.487/(1+10^($A22-7.688)))*1.45*10^(0.028*(25-MAX($C22,7)))),"--")</f>
        <v>--</v>
      </c>
      <c r="G22" s="15" t="str">
        <f t="shared" ref="G22:G23" si="15">IFERROR(((0.0577/(1+10^(7.688-$A22))+2.487/(1+10^($A22-7.688)))*MIN(2.85,1.45*10^(0.028*(25-$C22)))),"--")</f>
        <v>--</v>
      </c>
      <c r="H22" s="10" t="str">
        <f t="shared" ref="H22:H23" si="16">IFERROR((0.7249*(0.0114/(1+10^(7.204-A22))+1.6181/(1+10^(A22-7.204))))*(MIN(51.93,(23.12*(10^(0.036*(20-C22)))))),"--")</f>
        <v>--</v>
      </c>
      <c r="I22" s="10" t="str">
        <f t="shared" ref="I22:I23" si="17">IFERROR(MIN(((0.275/(1+10^(7.204-$A22)))+(39/(1+10^($A22-7.204)))),(0.7249*((0.0114/(1+10^(7.204-$A22)))+(1.6181/(1+10^($A22-7.204))))*(23.12*10^(0.036*(20-$C22))))),"--")</f>
        <v>--</v>
      </c>
      <c r="J22" s="14" t="str">
        <f t="shared" ref="J22:J23" si="18">IFERROR((0.8876*(0.0278/(1+10^(7.688-A22))+1.1994/(1+10^(A22-7.688))))*2.126*(10^(0.028*(20-MAX(C22,7)))),"--")</f>
        <v>--</v>
      </c>
      <c r="K22" s="10" t="str">
        <f t="shared" ref="K22:K23" si="19">IFERROR((0.7249*(0.0114/(1+10^(7.204-A22))+1.6181/(1+10^(A22-7.204))))*(MIN(51.93,(62.15*(10^(0.036*(20-C22)))))),"--")</f>
        <v>--</v>
      </c>
      <c r="L22" s="10" t="str">
        <f t="shared" ref="L22:L23" si="20">IFERROR(MIN(((0.275/(1+10^(7.204-$A22)))+(39/(1+10^($A22-7.204)))),(0.7249*((0.0114/(1+10^(7.204-$A22)))+(1.6181/(1+10^($A22-7.204))))*(62.15*10^(0.036*(20-$C22))))),"--")</f>
        <v>--</v>
      </c>
      <c r="M22" s="14" t="str">
        <f t="shared" ref="M22:M23" si="21">IFERROR((0.9405*(0.0278/(1+10^(7.688-A22))+1.1994/(1+10^(A22-7.688))))*7.547*(10^(0.028*(20-MAX(C22,7)))),"--")</f>
        <v>--</v>
      </c>
      <c r="N22" s="14" t="str">
        <f t="shared" ref="N22:N23" si="22">IFERROR((0.9405*(0.0278/(1+10^(7.688-A22))+1.1994/(1+10^(A22-7.688))))*MIN(6.92,(7.547*10^(0.028*(20-C22)))),"--")</f>
        <v>--</v>
      </c>
    </row>
    <row r="23" spans="1:14" ht="13.5" thickBot="1" x14ac:dyDescent="0.25">
      <c r="A23" s="18" t="s">
        <v>14</v>
      </c>
      <c r="B23" s="19" t="s">
        <v>14</v>
      </c>
      <c r="C23" s="9" t="str">
        <f t="shared" si="12"/>
        <v>--</v>
      </c>
      <c r="D23" s="10" t="str">
        <f t="shared" si="13"/>
        <v>--</v>
      </c>
      <c r="E23" s="10" t="str">
        <f>IFERROR((0.275/(1+10^(7.204-$A23))+39/(1+10^($A23-7.204))),"--")</f>
        <v>--</v>
      </c>
      <c r="F23" s="16" t="str">
        <f t="shared" si="14"/>
        <v>--</v>
      </c>
      <c r="G23" s="16" t="str">
        <f t="shared" si="15"/>
        <v>--</v>
      </c>
      <c r="H23" s="10" t="str">
        <f t="shared" si="16"/>
        <v>--</v>
      </c>
      <c r="I23" s="10" t="str">
        <f t="shared" si="17"/>
        <v>--</v>
      </c>
      <c r="J23" s="14" t="str">
        <f t="shared" si="18"/>
        <v>--</v>
      </c>
      <c r="K23" s="10" t="str">
        <f t="shared" si="19"/>
        <v>--</v>
      </c>
      <c r="L23" s="10" t="str">
        <f t="shared" si="20"/>
        <v>--</v>
      </c>
      <c r="M23" s="14" t="str">
        <f t="shared" si="21"/>
        <v>--</v>
      </c>
      <c r="N23" s="14" t="str">
        <f t="shared" si="22"/>
        <v>--</v>
      </c>
    </row>
    <row r="26" spans="1:14" ht="47.25" customHeight="1" x14ac:dyDescent="0.25">
      <c r="A26" s="22" t="s">
        <v>41</v>
      </c>
      <c r="B26" s="22"/>
      <c r="C26" s="22"/>
      <c r="D26" s="22"/>
      <c r="E26" s="22"/>
      <c r="F26" s="22"/>
      <c r="G26" s="22"/>
      <c r="H26" s="22"/>
      <c r="I26" s="22"/>
      <c r="J26" s="22"/>
      <c r="K26" s="22"/>
      <c r="L26" s="22"/>
      <c r="M26" s="22"/>
      <c r="N26" s="22"/>
    </row>
    <row r="28" spans="1:14" ht="31.5" customHeight="1" x14ac:dyDescent="0.25">
      <c r="A28" s="23" t="s">
        <v>21</v>
      </c>
      <c r="B28" s="23"/>
      <c r="C28" s="23"/>
      <c r="D28" s="23"/>
      <c r="E28" s="23"/>
      <c r="F28" s="23"/>
      <c r="G28" s="23"/>
      <c r="H28" s="23"/>
      <c r="I28" s="23"/>
      <c r="J28" s="23"/>
      <c r="K28" s="23"/>
      <c r="L28" s="23"/>
      <c r="M28" s="23"/>
      <c r="N28" s="23"/>
    </row>
    <row r="30" spans="1:14" ht="15.75" x14ac:dyDescent="0.25">
      <c r="A30" s="24" t="s">
        <v>22</v>
      </c>
      <c r="B30" s="24"/>
      <c r="C30" s="24"/>
      <c r="D30" s="24"/>
      <c r="E30" s="24"/>
      <c r="F30" s="24"/>
      <c r="G30" s="24"/>
      <c r="H30" s="24"/>
      <c r="I30" s="24"/>
      <c r="J30" s="24"/>
      <c r="K30" s="24"/>
      <c r="L30" s="24"/>
      <c r="M30" s="24"/>
      <c r="N30" s="24"/>
    </row>
    <row r="32" spans="1:14" ht="30.75" customHeight="1" x14ac:dyDescent="0.25">
      <c r="A32" s="23" t="s">
        <v>23</v>
      </c>
      <c r="B32" s="23"/>
      <c r="C32" s="23"/>
      <c r="D32" s="23"/>
      <c r="E32" s="23"/>
      <c r="F32" s="23"/>
      <c r="G32" s="23"/>
      <c r="H32" s="23"/>
      <c r="I32" s="23"/>
      <c r="J32" s="23"/>
      <c r="K32" s="23"/>
      <c r="L32" s="23"/>
      <c r="M32" s="23"/>
      <c r="N32" s="23"/>
    </row>
    <row r="34" spans="1:14" ht="45.75" customHeight="1" x14ac:dyDescent="0.25">
      <c r="A34" s="23" t="s">
        <v>26</v>
      </c>
      <c r="B34" s="23"/>
      <c r="C34" s="23"/>
      <c r="D34" s="23"/>
      <c r="E34" s="23"/>
      <c r="F34" s="23"/>
      <c r="G34" s="23"/>
      <c r="H34" s="23"/>
      <c r="I34" s="23"/>
      <c r="J34" s="23"/>
      <c r="K34" s="23"/>
      <c r="L34" s="23"/>
      <c r="M34" s="23"/>
      <c r="N34" s="23"/>
    </row>
    <row r="36" spans="1:14" ht="15.75" x14ac:dyDescent="0.25">
      <c r="A36" s="24" t="s">
        <v>24</v>
      </c>
      <c r="B36" s="24"/>
      <c r="C36" s="24"/>
      <c r="D36" s="24"/>
      <c r="E36" s="24"/>
      <c r="F36" s="24"/>
      <c r="G36" s="24"/>
      <c r="H36" s="24"/>
      <c r="I36" s="24"/>
      <c r="J36" s="24"/>
      <c r="K36" s="24"/>
      <c r="L36" s="24"/>
      <c r="M36" s="24"/>
      <c r="N36" s="24"/>
    </row>
    <row r="39" spans="1:14" ht="39.75" customHeight="1" x14ac:dyDescent="0.2">
      <c r="A39" s="21" t="s">
        <v>25</v>
      </c>
      <c r="B39" s="21"/>
      <c r="C39" s="21"/>
      <c r="D39" s="21"/>
      <c r="E39" s="21"/>
      <c r="F39" s="21"/>
      <c r="G39" s="21"/>
      <c r="H39" s="21"/>
      <c r="I39" s="21"/>
      <c r="J39" s="21"/>
      <c r="K39" s="21"/>
      <c r="L39" s="21"/>
      <c r="M39" s="21"/>
      <c r="N39" s="21"/>
    </row>
  </sheetData>
  <mergeCells count="32">
    <mergeCell ref="K6:L6"/>
    <mergeCell ref="B3:B8"/>
    <mergeCell ref="C3:C8"/>
    <mergeCell ref="H5:I5"/>
    <mergeCell ref="M5:N5"/>
    <mergeCell ref="H6:I6"/>
    <mergeCell ref="K4:N4"/>
    <mergeCell ref="F4:G5"/>
    <mergeCell ref="F6:G7"/>
    <mergeCell ref="A2:N2"/>
    <mergeCell ref="D3:G3"/>
    <mergeCell ref="D4:E5"/>
    <mergeCell ref="H4:J4"/>
    <mergeCell ref="A3:A8"/>
    <mergeCell ref="D6:E7"/>
    <mergeCell ref="L7:L8"/>
    <mergeCell ref="M7:M8"/>
    <mergeCell ref="N7:N8"/>
    <mergeCell ref="M6:N6"/>
    <mergeCell ref="H7:H8"/>
    <mergeCell ref="I7:I8"/>
    <mergeCell ref="K7:K8"/>
    <mergeCell ref="H3:N3"/>
    <mergeCell ref="J7:J8"/>
    <mergeCell ref="K5:L5"/>
    <mergeCell ref="A39:N39"/>
    <mergeCell ref="A26:N26"/>
    <mergeCell ref="A28:N28"/>
    <mergeCell ref="A32:N32"/>
    <mergeCell ref="A34:N34"/>
    <mergeCell ref="A36:N36"/>
    <mergeCell ref="A30:N30"/>
  </mergeCells>
  <pageMargins left="0.25" right="0.25" top="0.75" bottom="0.75" header="0.3" footer="0.3"/>
  <pageSetup scale="83" orientation="portrait" r:id="rId1"/>
  <headerFooter alignWithMargins="0">
    <oddHeader>&amp;CMarch 2009 Total Ammonia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Ammonia Comparison</vt:lpstr>
      <vt:lpstr>'Ammonia Comparison'!Print_Area</vt:lpstr>
    </vt:vector>
  </TitlesOfParts>
  <Company>LACSD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Gallis, George</dc:creator>
  <cp:lastModifiedBy>Chris Hornback</cp:lastModifiedBy>
  <cp:lastPrinted>2013-09-30T13:36:05Z</cp:lastPrinted>
  <dcterms:created xsi:type="dcterms:W3CDTF">2013-09-06T14:46:37Z</dcterms:created>
  <dcterms:modified xsi:type="dcterms:W3CDTF">2013-09-30T13:43:49Z</dcterms:modified>
</cp:coreProperties>
</file>